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é Azevedo Pereira\Documents\arquivos temporarios_hp\gfii\slides_and_underlying_mat\"/>
    </mc:Choice>
  </mc:AlternateContent>
  <xr:revisionPtr revIDLastSave="0" documentId="13_ncr:1_{F7469D4D-D334-4CF5-A594-1B5F6BEA88E8}" xr6:coauthVersionLast="41" xr6:coauthVersionMax="41" xr10:uidLastSave="{00000000-0000-0000-0000-000000000000}"/>
  <bookViews>
    <workbookView xWindow="-108" yWindow="-108" windowWidth="23256" windowHeight="12576" xr2:uid="{F1AC9D95-90EB-4208-AFB8-384881ED068A}"/>
  </bookViews>
  <sheets>
    <sheet name="Sheet1" sheetId="1" r:id="rId1"/>
    <sheet name="Sheet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2" l="1"/>
  <c r="G15" i="2" s="1"/>
  <c r="C23" i="2"/>
  <c r="C10" i="2" s="1"/>
  <c r="C12" i="2" s="1"/>
  <c r="C22" i="2"/>
  <c r="I11" i="2"/>
  <c r="C11" i="2" s="1"/>
  <c r="J8" i="2"/>
  <c r="I8" i="2"/>
  <c r="H8" i="2"/>
  <c r="G8" i="2"/>
  <c r="F8" i="2"/>
  <c r="E8" i="2"/>
  <c r="D8" i="2"/>
  <c r="C8" i="2"/>
  <c r="D40" i="1"/>
  <c r="D36" i="1"/>
  <c r="E37" i="1" s="1"/>
  <c r="D30" i="1"/>
  <c r="D28" i="1"/>
  <c r="D27" i="1"/>
  <c r="E26" i="1"/>
  <c r="D26" i="1"/>
  <c r="D13" i="1"/>
  <c r="D14" i="1" s="1"/>
  <c r="D11" i="1"/>
  <c r="E9" i="1"/>
  <c r="E10" i="1" s="1"/>
  <c r="E11" i="1" s="1"/>
  <c r="F9" i="1" l="1"/>
  <c r="G9" i="1" s="1"/>
  <c r="D15" i="2"/>
  <c r="D16" i="2" s="1"/>
  <c r="H15" i="2"/>
  <c r="H16" i="2" s="1"/>
  <c r="I15" i="2"/>
  <c r="I16" i="2" s="1"/>
  <c r="G16" i="2"/>
  <c r="E15" i="2"/>
  <c r="E16" i="2" s="1"/>
  <c r="F15" i="2"/>
  <c r="F16" i="2" s="1"/>
  <c r="G10" i="1"/>
  <c r="G11" i="1" s="1"/>
  <c r="G42" i="1"/>
  <c r="G12" i="1" s="1"/>
  <c r="G43" i="1"/>
  <c r="G18" i="1" s="1"/>
  <c r="H9" i="1"/>
  <c r="E43" i="1"/>
  <c r="E18" i="1" s="1"/>
  <c r="D15" i="1"/>
  <c r="D19" i="1" s="1"/>
  <c r="E42" i="1"/>
  <c r="E12" i="1" s="1"/>
  <c r="E41" i="1" s="1"/>
  <c r="F43" i="1"/>
  <c r="F42" i="1"/>
  <c r="F12" i="1" s="1"/>
  <c r="F10" i="1"/>
  <c r="F11" i="1"/>
  <c r="F13" i="1" l="1"/>
  <c r="F14" i="1" s="1"/>
  <c r="G13" i="1"/>
  <c r="G14" i="1" s="1"/>
  <c r="E13" i="1"/>
  <c r="C17" i="2"/>
  <c r="C19" i="2" s="1"/>
  <c r="H10" i="1"/>
  <c r="H11" i="1" s="1"/>
  <c r="H42" i="1"/>
  <c r="H12" i="1" s="1"/>
  <c r="H13" i="1" s="1"/>
  <c r="H14" i="1" s="1"/>
  <c r="H43" i="1"/>
  <c r="H18" i="1" s="1"/>
  <c r="I9" i="1"/>
  <c r="E14" i="1"/>
  <c r="E15" i="1" s="1"/>
  <c r="E19" i="1" s="1"/>
  <c r="F18" i="1"/>
  <c r="F41" i="1"/>
  <c r="E40" i="1"/>
  <c r="E17" i="1" s="1"/>
  <c r="G15" i="1" l="1"/>
  <c r="F15" i="1"/>
  <c r="H15" i="1"/>
  <c r="G41" i="1"/>
  <c r="F40" i="1"/>
  <c r="F17" i="1" s="1"/>
  <c r="F19" i="1" s="1"/>
  <c r="I42" i="1"/>
  <c r="I12" i="1" s="1"/>
  <c r="I43" i="1"/>
  <c r="I18" i="1" s="1"/>
  <c r="I10" i="1"/>
  <c r="I11" i="1" s="1"/>
  <c r="J9" i="1"/>
  <c r="I13" i="1" l="1"/>
  <c r="I14" i="1" s="1"/>
  <c r="I15" i="1" s="1"/>
  <c r="H41" i="1"/>
  <c r="G40" i="1"/>
  <c r="G17" i="1" s="1"/>
  <c r="G19" i="1" s="1"/>
  <c r="J42" i="1"/>
  <c r="J12" i="1" s="1"/>
  <c r="J43" i="1"/>
  <c r="J18" i="1" s="1"/>
  <c r="K9" i="1"/>
  <c r="J10" i="1"/>
  <c r="J13" i="1" l="1"/>
  <c r="J14" i="1" s="1"/>
  <c r="J15" i="1"/>
  <c r="I41" i="1"/>
  <c r="H40" i="1"/>
  <c r="H17" i="1" s="1"/>
  <c r="H19" i="1" s="1"/>
  <c r="J11" i="1"/>
  <c r="K43" i="1"/>
  <c r="K18" i="1" s="1"/>
  <c r="K10" i="1"/>
  <c r="K11" i="1" s="1"/>
  <c r="K42" i="1"/>
  <c r="K12" i="1" s="1"/>
  <c r="K13" i="1"/>
  <c r="K14" i="1" s="1"/>
  <c r="J41" i="1" l="1"/>
  <c r="I40" i="1"/>
  <c r="I17" i="1" s="1"/>
  <c r="I19" i="1" s="1"/>
  <c r="K15" i="1"/>
  <c r="K41" i="1" l="1"/>
  <c r="K40" i="1" s="1"/>
  <c r="J40" i="1"/>
  <c r="J17" i="1" s="1"/>
  <c r="J19" i="1" s="1"/>
  <c r="D21" i="1" s="1"/>
  <c r="K17" i="1" l="1"/>
  <c r="K19" i="1" s="1"/>
  <c r="J22" i="1" s="1"/>
  <c r="D22" i="1" s="1"/>
  <c r="D23" i="1" s="1"/>
</calcChain>
</file>

<file path=xl/sharedStrings.xml><?xml version="1.0" encoding="utf-8"?>
<sst xmlns="http://schemas.openxmlformats.org/spreadsheetml/2006/main" count="64" uniqueCount="56">
  <si>
    <t>Note:  You can change any of the cells shaded green.</t>
  </si>
  <si>
    <t xml:space="preserve">Latest </t>
  </si>
  <si>
    <t>year</t>
  </si>
  <si>
    <t>Forecast</t>
  </si>
  <si>
    <t>1.</t>
  </si>
  <si>
    <t>Sales</t>
  </si>
  <si>
    <t>2.</t>
  </si>
  <si>
    <t>Cost of goods sold</t>
  </si>
  <si>
    <t>3.</t>
  </si>
  <si>
    <t>EBITDA (1 - 2)</t>
  </si>
  <si>
    <t>4.</t>
  </si>
  <si>
    <t xml:space="preserve">Depreciation </t>
  </si>
  <si>
    <t>5.</t>
  </si>
  <si>
    <t xml:space="preserve">Profit before tax  (EBIT)  (3 - 4) </t>
  </si>
  <si>
    <t>6.</t>
  </si>
  <si>
    <t xml:space="preserve">Tax </t>
  </si>
  <si>
    <t>7.</t>
  </si>
  <si>
    <t>Profit after tax (5 - 6)</t>
  </si>
  <si>
    <t>8.</t>
  </si>
  <si>
    <t>Investment in fixed assets</t>
  </si>
  <si>
    <t>9.</t>
  </si>
  <si>
    <t>Investment in working capital</t>
  </si>
  <si>
    <t>10.</t>
  </si>
  <si>
    <t>Free cash flow (7 + 4 - 8 - 9)</t>
  </si>
  <si>
    <t>PV Free cash flow, years 1-6</t>
  </si>
  <si>
    <t>(Horizon value in year 6)</t>
  </si>
  <si>
    <t xml:space="preserve">PV Horizon value </t>
  </si>
  <si>
    <t>PV of company</t>
  </si>
  <si>
    <t>Assumptions:</t>
  </si>
  <si>
    <t>Sales growth (percent)</t>
  </si>
  <si>
    <t>Costs (percent of sales)</t>
  </si>
  <si>
    <t>Working capital (percent of sales)</t>
  </si>
  <si>
    <t>Net fixed assets (percent of sales)</t>
  </si>
  <si>
    <t>Depreciation (percent of net fixed assets)</t>
  </si>
  <si>
    <t>Tax rate, percent</t>
  </si>
  <si>
    <r>
      <t>Cost of debt, percent (</t>
    </r>
    <r>
      <rPr>
        <i/>
        <sz val="10"/>
        <rFont val="Arial"/>
        <family val="2"/>
      </rPr>
      <t>r</t>
    </r>
    <r>
      <rPr>
        <i/>
        <vertAlign val="subscript"/>
        <sz val="10"/>
        <rFont val="Arial"/>
        <family val="2"/>
      </rPr>
      <t>D</t>
    </r>
    <r>
      <rPr>
        <sz val="10"/>
        <rFont val="Arial"/>
        <family val="2"/>
      </rPr>
      <t>)</t>
    </r>
  </si>
  <si>
    <r>
      <t>Cost of equity, percent (</t>
    </r>
    <r>
      <rPr>
        <i/>
        <sz val="10"/>
        <rFont val="Arial"/>
        <family val="2"/>
      </rPr>
      <t>r</t>
    </r>
    <r>
      <rPr>
        <i/>
        <vertAlign val="subscript"/>
        <sz val="10"/>
        <rFont val="Arial"/>
        <family val="2"/>
      </rPr>
      <t>E</t>
    </r>
    <r>
      <rPr>
        <sz val="10"/>
        <rFont val="Arial"/>
        <family val="2"/>
      </rPr>
      <t>)</t>
    </r>
  </si>
  <si>
    <t>Debt ratio (D/V)</t>
  </si>
  <si>
    <t xml:space="preserve">WACC, percent </t>
  </si>
  <si>
    <t>Long-term growth forecast, percent</t>
  </si>
  <si>
    <t>Fixed assets and working capital</t>
  </si>
  <si>
    <t>Gross fixed assets</t>
  </si>
  <si>
    <t>Net fixed assets</t>
  </si>
  <si>
    <t>Net working capital</t>
  </si>
  <si>
    <r>
      <t>TABLE 19.1  Free cash flow projections and company value for Rio Corporation ($ millions)</t>
    </r>
    <r>
      <rPr>
        <sz val="11"/>
        <color theme="1"/>
        <rFont val="Calibri"/>
        <family val="2"/>
        <scheme val="minor"/>
      </rPr>
      <t xml:space="preserve"> </t>
    </r>
  </si>
  <si>
    <r>
      <t>Less</t>
    </r>
    <r>
      <rPr>
        <sz val="11"/>
        <color theme="1"/>
        <rFont val="Calibri"/>
        <family val="2"/>
        <scheme val="minor"/>
      </rPr>
      <t xml:space="preserve"> accumulated depreciation</t>
    </r>
  </si>
  <si>
    <t xml:space="preserve">Free cash flow </t>
  </si>
  <si>
    <t>Base-Case PV of company</t>
  </si>
  <si>
    <t>Debt</t>
  </si>
  <si>
    <t>Interest</t>
  </si>
  <si>
    <t>Interest tax shield</t>
  </si>
  <si>
    <t>PV Interest tax shields</t>
  </si>
  <si>
    <t>APV</t>
  </si>
  <si>
    <r>
      <t>Opportunity cost of capital, percent (</t>
    </r>
    <r>
      <rPr>
        <i/>
        <sz val="10"/>
        <rFont val="Arial"/>
        <family val="2"/>
      </rPr>
      <t>r</t>
    </r>
    <r>
      <rPr>
        <sz val="10"/>
        <rFont val="Arial"/>
        <family val="2"/>
      </rPr>
      <t>)</t>
    </r>
  </si>
  <si>
    <t>Interest rate, percent</t>
  </si>
  <si>
    <r>
      <t>TABLE 19.2  APV valuation of Rio Corporation ($ millions)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</si>
</sst>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Arial"/>
      <family val="2"/>
    </font>
    <font>
      <i/>
      <vertAlign val="subscript"/>
      <sz val="10"/>
      <name val="Arial"/>
      <family val="2"/>
    </font>
    <font>
      <sz val="10"/>
      <name val="Arial"/>
      <family val="2"/>
    </font>
    <font>
      <b/>
      <i/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</cellStyleXfs>
  <cellXfs count="23">
    <xf numFmtId="0" fontId="0" fillId="0" borderId="0" xfId="0"/>
    <xf numFmtId="0" fontId="0" fillId="0" borderId="0" xfId="0" quotePrefix="1"/>
    <xf numFmtId="0" fontId="2" fillId="2" borderId="0" xfId="1"/>
    <xf numFmtId="2" fontId="0" fillId="0" borderId="0" xfId="0" applyNumberFormat="1"/>
    <xf numFmtId="164" fontId="0" fillId="0" borderId="0" xfId="0" applyNumberFormat="1"/>
    <xf numFmtId="164" fontId="3" fillId="0" borderId="0" xfId="0" applyNumberFormat="1" applyFont="1"/>
    <xf numFmtId="164" fontId="1" fillId="5" borderId="0" xfId="4" applyNumberFormat="1"/>
    <xf numFmtId="164" fontId="1" fillId="7" borderId="0" xfId="6" applyNumberFormat="1"/>
    <xf numFmtId="0" fontId="1" fillId="7" borderId="0" xfId="6"/>
    <xf numFmtId="0" fontId="8" fillId="11" borderId="0" xfId="0" applyFont="1" applyFill="1"/>
    <xf numFmtId="0" fontId="4" fillId="10" borderId="0" xfId="9"/>
    <xf numFmtId="164" fontId="4" fillId="10" borderId="0" xfId="9" applyNumberFormat="1"/>
    <xf numFmtId="164" fontId="4" fillId="3" borderId="0" xfId="2" applyNumberFormat="1"/>
    <xf numFmtId="164" fontId="1" fillId="4" borderId="0" xfId="3" applyNumberFormat="1"/>
    <xf numFmtId="2" fontId="1" fillId="6" borderId="0" xfId="5" applyNumberFormat="1"/>
    <xf numFmtId="164" fontId="2" fillId="2" borderId="0" xfId="1" applyNumberFormat="1"/>
    <xf numFmtId="164" fontId="4" fillId="9" borderId="0" xfId="8" applyNumberFormat="1"/>
    <xf numFmtId="0" fontId="4" fillId="9" borderId="0" xfId="8"/>
    <xf numFmtId="0" fontId="3" fillId="0" borderId="0" xfId="0" applyFont="1" applyAlignment="1">
      <alignment horizontal="center"/>
    </xf>
    <xf numFmtId="164" fontId="1" fillId="8" borderId="0" xfId="7" applyNumberFormat="1"/>
    <xf numFmtId="0" fontId="0" fillId="0" borderId="0" xfId="0"/>
    <xf numFmtId="0" fontId="3" fillId="0" borderId="0" xfId="0" applyFont="1" applyAlignment="1">
      <alignment horizontal="center"/>
    </xf>
    <xf numFmtId="2" fontId="0" fillId="0" borderId="0" xfId="0" applyNumberFormat="1"/>
  </cellXfs>
  <cellStyles count="10">
    <cellStyle name="20% - Accent2" xfId="4" builtinId="34"/>
    <cellStyle name="40% - Accent2" xfId="5" builtinId="35"/>
    <cellStyle name="60% - Accent1" xfId="3" builtinId="32"/>
    <cellStyle name="60% - Accent2" xfId="6" builtinId="36"/>
    <cellStyle name="60% - Accent3" xfId="7" builtinId="40"/>
    <cellStyle name="Accent1" xfId="2" builtinId="29"/>
    <cellStyle name="Accent4" xfId="8" builtinId="41"/>
    <cellStyle name="Accent5" xfId="9" builtinId="45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&#233;%20Azevedo%20Pereira/Documents/arquivos%20temporarios_hp/financas/material_fe_eng_2018_19/material_word_excel_powerpoint/avaliacao/Copy%20of%20c19a_rios_spread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9.1"/>
      <sheetName val="TABLE 19.2"/>
    </sheetNames>
    <sheetDataSet>
      <sheetData sheetId="0">
        <row r="19">
          <cell r="D19">
            <v>2.4837500000000006</v>
          </cell>
          <cell r="E19">
            <v>3.4626679664000015</v>
          </cell>
          <cell r="F19">
            <v>3.2242071244479931</v>
          </cell>
          <cell r="G19">
            <v>3.4499016231593771</v>
          </cell>
          <cell r="H19">
            <v>5.8843148766908229</v>
          </cell>
          <cell r="I19">
            <v>6.1196874717584926</v>
          </cell>
          <cell r="J19">
            <v>5.9899272187462245</v>
          </cell>
          <cell r="K19">
            <v>6.8033199388340186</v>
          </cell>
        </row>
        <row r="22">
          <cell r="J22">
            <v>113.38866564723365</v>
          </cell>
        </row>
        <row r="32">
          <cell r="D32">
            <v>35</v>
          </cell>
        </row>
        <row r="33">
          <cell r="D33">
            <v>6</v>
          </cell>
        </row>
        <row r="34">
          <cell r="D34">
            <v>12.4</v>
          </cell>
        </row>
        <row r="35">
          <cell r="D35">
            <v>0.4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1F990-6666-40FA-98D9-50A977A93128}">
  <dimension ref="B2:L43"/>
  <sheetViews>
    <sheetView tabSelected="1" workbookViewId="0">
      <selection activeCell="C21" sqref="C21"/>
    </sheetView>
  </sheetViews>
  <sheetFormatPr defaultRowHeight="14.4" x14ac:dyDescent="0.3"/>
  <cols>
    <col min="2" max="2" width="4.88671875" customWidth="1"/>
    <col min="3" max="3" width="35" customWidth="1"/>
    <col min="4" max="4" width="12.44140625" customWidth="1"/>
    <col min="5" max="11" width="8.44140625" customWidth="1"/>
    <col min="12" max="12" width="11.109375" customWidth="1"/>
  </cols>
  <sheetData>
    <row r="2" spans="2:12" x14ac:dyDescent="0.3">
      <c r="B2" s="20" t="s">
        <v>44</v>
      </c>
      <c r="C2" s="20"/>
      <c r="D2" s="20"/>
      <c r="E2" s="20"/>
      <c r="F2" s="20"/>
      <c r="G2" s="20"/>
      <c r="H2" s="20"/>
      <c r="I2" s="20"/>
      <c r="J2" s="20"/>
      <c r="K2" s="20"/>
    </row>
    <row r="3" spans="2:12" x14ac:dyDescent="0.3">
      <c r="B3" s="20" t="s">
        <v>0</v>
      </c>
      <c r="C3" s="20"/>
      <c r="D3" s="20"/>
      <c r="E3" s="20"/>
      <c r="F3" s="20"/>
      <c r="G3" s="20"/>
      <c r="H3" s="20"/>
      <c r="I3" s="20"/>
      <c r="J3" s="20"/>
      <c r="K3" s="20"/>
      <c r="L3" s="20"/>
    </row>
    <row r="5" spans="2:12" x14ac:dyDescent="0.3">
      <c r="D5" t="s">
        <v>1</v>
      </c>
    </row>
    <row r="6" spans="2:12" x14ac:dyDescent="0.3">
      <c r="D6" t="s">
        <v>2</v>
      </c>
      <c r="E6" s="20" t="s">
        <v>3</v>
      </c>
      <c r="F6" s="20"/>
      <c r="G6" s="20"/>
      <c r="H6" s="20"/>
      <c r="I6" s="20"/>
      <c r="J6" s="20"/>
    </row>
    <row r="7" spans="2:12" x14ac:dyDescent="0.3">
      <c r="D7" s="18">
        <v>0</v>
      </c>
      <c r="E7" s="18">
        <v>1</v>
      </c>
      <c r="F7" s="18">
        <v>2</v>
      </c>
      <c r="G7" s="18">
        <v>3</v>
      </c>
      <c r="H7" s="18">
        <v>4</v>
      </c>
      <c r="I7" s="18">
        <v>5</v>
      </c>
      <c r="J7" s="18">
        <v>6</v>
      </c>
      <c r="K7" s="18">
        <v>7</v>
      </c>
    </row>
    <row r="9" spans="2:12" x14ac:dyDescent="0.3">
      <c r="B9" s="1" t="s">
        <v>4</v>
      </c>
      <c r="C9" t="s">
        <v>5</v>
      </c>
      <c r="D9" s="15">
        <v>83.632000000000005</v>
      </c>
      <c r="E9" s="16">
        <f t="shared" ref="E9:K9" si="0">(1+E26/100)*D9</f>
        <v>89.486240000000009</v>
      </c>
      <c r="F9" s="16">
        <f t="shared" si="0"/>
        <v>95.750276800000009</v>
      </c>
      <c r="G9" s="16">
        <f t="shared" si="0"/>
        <v>102.45279617600002</v>
      </c>
      <c r="H9" s="16">
        <f t="shared" si="0"/>
        <v>106.55090802304002</v>
      </c>
      <c r="I9" s="16">
        <f t="shared" si="0"/>
        <v>110.81294434396163</v>
      </c>
      <c r="J9" s="16">
        <f t="shared" si="0"/>
        <v>115.24546211772009</v>
      </c>
      <c r="K9" s="16">
        <f t="shared" si="0"/>
        <v>118.70282598125171</v>
      </c>
    </row>
    <row r="10" spans="2:12" x14ac:dyDescent="0.3">
      <c r="B10" t="s">
        <v>6</v>
      </c>
      <c r="C10" t="s">
        <v>7</v>
      </c>
      <c r="D10" s="4">
        <v>63.123000000000005</v>
      </c>
      <c r="E10" s="6">
        <f t="shared" ref="E10:K10" si="1">E$27*E$9/100</f>
        <v>66.219817599999999</v>
      </c>
      <c r="F10" s="6">
        <f t="shared" si="1"/>
        <v>71.333956216000004</v>
      </c>
      <c r="G10" s="6">
        <f t="shared" si="1"/>
        <v>76.327333151120015</v>
      </c>
      <c r="H10" s="6">
        <f t="shared" si="1"/>
        <v>79.913181017280024</v>
      </c>
      <c r="I10" s="6">
        <f t="shared" si="1"/>
        <v>83.109708257971235</v>
      </c>
      <c r="J10" s="6">
        <f t="shared" si="1"/>
        <v>87.010323898878667</v>
      </c>
      <c r="K10" s="6">
        <f t="shared" si="1"/>
        <v>90.214147745751291</v>
      </c>
    </row>
    <row r="11" spans="2:12" x14ac:dyDescent="0.3">
      <c r="B11" t="s">
        <v>8</v>
      </c>
      <c r="C11" t="s">
        <v>9</v>
      </c>
      <c r="D11" s="4">
        <f>D9-D10</f>
        <v>20.509</v>
      </c>
      <c r="E11" s="4">
        <f t="shared" ref="E11:K11" si="2">E9-E10</f>
        <v>23.26642240000001</v>
      </c>
      <c r="F11" s="4">
        <f t="shared" si="2"/>
        <v>24.416320584000005</v>
      </c>
      <c r="G11" s="4">
        <f t="shared" si="2"/>
        <v>26.125463024880005</v>
      </c>
      <c r="H11" s="4">
        <f t="shared" si="2"/>
        <v>26.637727005759999</v>
      </c>
      <c r="I11" s="4">
        <f t="shared" si="2"/>
        <v>27.703236085990397</v>
      </c>
      <c r="J11" s="4">
        <f t="shared" si="2"/>
        <v>28.235138218841428</v>
      </c>
      <c r="K11" s="4">
        <f t="shared" si="2"/>
        <v>28.488678235500416</v>
      </c>
    </row>
    <row r="12" spans="2:12" x14ac:dyDescent="0.3">
      <c r="B12" t="s">
        <v>10</v>
      </c>
      <c r="C12" t="s">
        <v>11</v>
      </c>
      <c r="D12" s="4">
        <v>3.294</v>
      </c>
      <c r="E12" s="13">
        <f t="shared" ref="E12:K12" si="3">E30*E42/100</f>
        <v>9.8971781440000015</v>
      </c>
      <c r="F12" s="13">
        <f t="shared" si="3"/>
        <v>10.589980614080002</v>
      </c>
      <c r="G12" s="13">
        <f t="shared" si="3"/>
        <v>11.331279257065601</v>
      </c>
      <c r="H12" s="13">
        <f t="shared" si="3"/>
        <v>11.784530427348226</v>
      </c>
      <c r="I12" s="13">
        <f t="shared" si="3"/>
        <v>12.255911644442158</v>
      </c>
      <c r="J12" s="13">
        <f t="shared" si="3"/>
        <v>12.746148110219844</v>
      </c>
      <c r="K12" s="13">
        <f t="shared" si="3"/>
        <v>13.128532553526439</v>
      </c>
    </row>
    <row r="13" spans="2:12" x14ac:dyDescent="0.3">
      <c r="B13" t="s">
        <v>12</v>
      </c>
      <c r="C13" t="s">
        <v>13</v>
      </c>
      <c r="D13" s="4">
        <f t="shared" ref="D13:J13" si="4">D9-D10-D12</f>
        <v>17.215</v>
      </c>
      <c r="E13" s="4">
        <f t="shared" si="4"/>
        <v>13.369244256000009</v>
      </c>
      <c r="F13" s="4">
        <f t="shared" si="4"/>
        <v>13.826339969920003</v>
      </c>
      <c r="G13" s="4">
        <f t="shared" si="4"/>
        <v>14.794183767814404</v>
      </c>
      <c r="H13" s="4">
        <f t="shared" si="4"/>
        <v>14.853196578411772</v>
      </c>
      <c r="I13" s="4">
        <f t="shared" si="4"/>
        <v>15.44732444154824</v>
      </c>
      <c r="J13" s="4">
        <f t="shared" si="4"/>
        <v>15.488990108621584</v>
      </c>
      <c r="K13" s="4">
        <f>K9-K10-K12</f>
        <v>15.360145681973977</v>
      </c>
    </row>
    <row r="14" spans="2:12" x14ac:dyDescent="0.3">
      <c r="B14" t="s">
        <v>14</v>
      </c>
      <c r="C14" t="s">
        <v>15</v>
      </c>
      <c r="D14" s="4">
        <f>$D32*D13/100</f>
        <v>6.0252499999999998</v>
      </c>
      <c r="E14" s="7">
        <f>$D32*E13/100</f>
        <v>4.6792354896000026</v>
      </c>
      <c r="F14" s="7">
        <f t="shared" ref="F14:K14" si="5">$D32*F13/100</f>
        <v>4.839218989472001</v>
      </c>
      <c r="G14" s="7">
        <f t="shared" si="5"/>
        <v>5.1779643187350413</v>
      </c>
      <c r="H14" s="7">
        <f t="shared" si="5"/>
        <v>5.1986188024441207</v>
      </c>
      <c r="I14" s="7">
        <f t="shared" si="5"/>
        <v>5.4065635545418846</v>
      </c>
      <c r="J14" s="7">
        <f t="shared" si="5"/>
        <v>5.4211465380175552</v>
      </c>
      <c r="K14" s="7">
        <f t="shared" si="5"/>
        <v>5.3760509886908912</v>
      </c>
    </row>
    <row r="15" spans="2:12" x14ac:dyDescent="0.3">
      <c r="B15" t="s">
        <v>16</v>
      </c>
      <c r="C15" t="s">
        <v>17</v>
      </c>
      <c r="D15" s="4">
        <f t="shared" ref="D15:J15" si="6">D13-D14</f>
        <v>11.18975</v>
      </c>
      <c r="E15" s="4">
        <f t="shared" si="6"/>
        <v>8.6900087664000054</v>
      </c>
      <c r="F15" s="4">
        <f t="shared" si="6"/>
        <v>8.987120980448001</v>
      </c>
      <c r="G15" s="4">
        <f t="shared" si="6"/>
        <v>9.6162194490793631</v>
      </c>
      <c r="H15" s="4">
        <f t="shared" si="6"/>
        <v>9.6545777759676525</v>
      </c>
      <c r="I15" s="4">
        <f t="shared" si="6"/>
        <v>10.040760887006355</v>
      </c>
      <c r="J15" s="4">
        <f t="shared" si="6"/>
        <v>10.06784357060403</v>
      </c>
      <c r="K15" s="4">
        <f>K13-K14</f>
        <v>9.9840946932830867</v>
      </c>
    </row>
    <row r="16" spans="2:12" x14ac:dyDescent="0.3">
      <c r="D16" s="4"/>
      <c r="E16" s="4"/>
      <c r="F16" s="4"/>
      <c r="G16" s="4"/>
      <c r="H16" s="4"/>
      <c r="I16" s="4"/>
      <c r="J16" s="4"/>
      <c r="K16" s="4"/>
    </row>
    <row r="17" spans="2:11" x14ac:dyDescent="0.3">
      <c r="B17" t="s">
        <v>18</v>
      </c>
      <c r="C17" t="s">
        <v>19</v>
      </c>
      <c r="D17" s="4">
        <v>11</v>
      </c>
      <c r="E17" s="12">
        <f t="shared" ref="E17:K17" si="7">E40-D40</f>
        <v>14.591307744000005</v>
      </c>
      <c r="F17" s="12">
        <f t="shared" si="7"/>
        <v>15.53856968608001</v>
      </c>
      <c r="G17" s="12">
        <f t="shared" si="7"/>
        <v>16.626269564105584</v>
      </c>
      <c r="H17" s="12">
        <f t="shared" si="7"/>
        <v>15.022038786509853</v>
      </c>
      <c r="I17" s="12">
        <f t="shared" si="7"/>
        <v>15.622920337970214</v>
      </c>
      <c r="J17" s="12">
        <f t="shared" si="7"/>
        <v>16.247837151489051</v>
      </c>
      <c r="K17" s="12">
        <f t="shared" si="7"/>
        <v>15.859850005716396</v>
      </c>
    </row>
    <row r="18" spans="2:11" x14ac:dyDescent="0.3">
      <c r="B18" t="s">
        <v>20</v>
      </c>
      <c r="C18" t="s">
        <v>21</v>
      </c>
      <c r="D18" s="4">
        <v>1</v>
      </c>
      <c r="E18" s="19">
        <f t="shared" ref="E18:K18" si="8">E43-D43</f>
        <v>0.53321120000000022</v>
      </c>
      <c r="F18" s="19">
        <f t="shared" si="8"/>
        <v>0.81432478400000186</v>
      </c>
      <c r="G18" s="19">
        <f t="shared" si="8"/>
        <v>0.87132751888000115</v>
      </c>
      <c r="H18" s="19">
        <f t="shared" si="8"/>
        <v>0.53275454011520118</v>
      </c>
      <c r="I18" s="19">
        <f t="shared" si="8"/>
        <v>0.55406472171980781</v>
      </c>
      <c r="J18" s="19">
        <f t="shared" si="8"/>
        <v>0.57622731058860133</v>
      </c>
      <c r="K18" s="19">
        <f t="shared" si="8"/>
        <v>0.44945730225910907</v>
      </c>
    </row>
    <row r="19" spans="2:11" x14ac:dyDescent="0.3">
      <c r="B19" t="s">
        <v>22</v>
      </c>
      <c r="C19" t="s">
        <v>23</v>
      </c>
      <c r="D19" s="4">
        <f t="shared" ref="D19:J19" si="9">D15+D12-D18-D17</f>
        <v>2.4837500000000006</v>
      </c>
      <c r="E19" s="4">
        <f t="shared" si="9"/>
        <v>3.4626679664000015</v>
      </c>
      <c r="F19" s="4">
        <f t="shared" si="9"/>
        <v>3.2242071244479931</v>
      </c>
      <c r="G19" s="4">
        <f t="shared" si="9"/>
        <v>3.4499016231593771</v>
      </c>
      <c r="H19" s="4">
        <f t="shared" si="9"/>
        <v>5.8843148766908229</v>
      </c>
      <c r="I19" s="4">
        <f t="shared" si="9"/>
        <v>6.1196874717584926</v>
      </c>
      <c r="J19" s="4">
        <f t="shared" si="9"/>
        <v>5.9899272187462245</v>
      </c>
      <c r="K19" s="4">
        <f>K15+K12-K18-K17</f>
        <v>6.8033199388340186</v>
      </c>
    </row>
    <row r="21" spans="2:11" x14ac:dyDescent="0.3">
      <c r="C21" t="s">
        <v>24</v>
      </c>
      <c r="D21" s="5">
        <f>NPV(D36/100,E19:J19)</f>
        <v>20.27203913588599</v>
      </c>
      <c r="I21" s="20" t="s">
        <v>25</v>
      </c>
      <c r="J21" s="20"/>
      <c r="K21" s="20"/>
    </row>
    <row r="22" spans="2:11" x14ac:dyDescent="0.3">
      <c r="C22" t="s">
        <v>26</v>
      </c>
      <c r="D22" s="5">
        <f>J22/(1+D36/100)^6</f>
        <v>67.609956563877176</v>
      </c>
      <c r="J22" s="5">
        <f>K19/($D36/100-$D37/100)</f>
        <v>113.38866564723365</v>
      </c>
    </row>
    <row r="23" spans="2:11" x14ac:dyDescent="0.3">
      <c r="C23" t="s">
        <v>27</v>
      </c>
      <c r="D23" s="5">
        <f>D21+D22</f>
        <v>87.881995699763166</v>
      </c>
    </row>
    <row r="25" spans="2:11" x14ac:dyDescent="0.3">
      <c r="C25" t="s">
        <v>28</v>
      </c>
    </row>
    <row r="26" spans="2:11" x14ac:dyDescent="0.3">
      <c r="C26" t="s">
        <v>29</v>
      </c>
      <c r="D26" s="17">
        <f>100*0.067</f>
        <v>6.7</v>
      </c>
      <c r="E26" s="2">
        <f>7</f>
        <v>7</v>
      </c>
      <c r="F26" s="2">
        <v>7</v>
      </c>
      <c r="G26" s="2">
        <v>7</v>
      </c>
      <c r="H26" s="2">
        <v>4</v>
      </c>
      <c r="I26" s="2">
        <v>4</v>
      </c>
      <c r="J26" s="2">
        <v>4</v>
      </c>
      <c r="K26" s="2">
        <v>3</v>
      </c>
    </row>
    <row r="27" spans="2:11" x14ac:dyDescent="0.3">
      <c r="C27" t="s">
        <v>30</v>
      </c>
      <c r="D27" s="6">
        <f>100*D10/D9</f>
        <v>75.477090109049172</v>
      </c>
      <c r="E27" s="2">
        <v>74</v>
      </c>
      <c r="F27" s="2">
        <v>74.5</v>
      </c>
      <c r="G27" s="2">
        <v>74.5</v>
      </c>
      <c r="H27" s="2">
        <v>75</v>
      </c>
      <c r="I27" s="2">
        <v>75</v>
      </c>
      <c r="J27" s="2">
        <v>75.5</v>
      </c>
      <c r="K27" s="2">
        <v>76</v>
      </c>
    </row>
    <row r="28" spans="2:11" x14ac:dyDescent="0.3">
      <c r="C28" t="s">
        <v>31</v>
      </c>
      <c r="D28" s="3">
        <f>100*D43/D9</f>
        <v>13.272431605127224</v>
      </c>
      <c r="E28" s="2">
        <v>13</v>
      </c>
      <c r="F28" s="2">
        <v>13</v>
      </c>
      <c r="G28" s="2">
        <v>13</v>
      </c>
      <c r="H28" s="2">
        <v>13</v>
      </c>
      <c r="I28" s="2">
        <v>13</v>
      </c>
      <c r="J28" s="2">
        <v>13</v>
      </c>
      <c r="K28" s="2">
        <v>13</v>
      </c>
    </row>
    <row r="29" spans="2:11" x14ac:dyDescent="0.3">
      <c r="C29" t="s">
        <v>32</v>
      </c>
      <c r="D29" s="10">
        <v>79.2</v>
      </c>
      <c r="E29" s="2">
        <v>79</v>
      </c>
      <c r="F29" s="2">
        <v>79</v>
      </c>
      <c r="G29" s="2">
        <v>79</v>
      </c>
      <c r="H29" s="2">
        <v>79</v>
      </c>
      <c r="I29" s="2">
        <v>79</v>
      </c>
      <c r="J29" s="2">
        <v>79</v>
      </c>
      <c r="K29" s="2">
        <v>79</v>
      </c>
    </row>
    <row r="30" spans="2:11" x14ac:dyDescent="0.3">
      <c r="C30" t="s">
        <v>33</v>
      </c>
      <c r="D30" s="14">
        <f>100*D12/D42</f>
        <v>4.9909090909090903</v>
      </c>
      <c r="E30" s="2">
        <v>14</v>
      </c>
      <c r="F30" s="2">
        <v>14</v>
      </c>
      <c r="G30" s="2">
        <v>14</v>
      </c>
      <c r="H30" s="2">
        <v>14</v>
      </c>
      <c r="I30" s="2">
        <v>14</v>
      </c>
      <c r="J30" s="2">
        <v>14</v>
      </c>
      <c r="K30" s="2">
        <v>14</v>
      </c>
    </row>
    <row r="32" spans="2:11" x14ac:dyDescent="0.3">
      <c r="C32" t="s">
        <v>34</v>
      </c>
      <c r="D32" s="2">
        <v>35</v>
      </c>
      <c r="E32" s="8"/>
    </row>
    <row r="33" spans="3:11" ht="15.6" x14ac:dyDescent="0.35">
      <c r="C33" t="s">
        <v>35</v>
      </c>
      <c r="D33" s="2">
        <v>6</v>
      </c>
    </row>
    <row r="34" spans="3:11" ht="15.6" x14ac:dyDescent="0.35">
      <c r="C34" t="s">
        <v>36</v>
      </c>
      <c r="D34" s="2">
        <v>12.4</v>
      </c>
    </row>
    <row r="35" spans="3:11" x14ac:dyDescent="0.3">
      <c r="C35" t="s">
        <v>37</v>
      </c>
      <c r="D35" s="2">
        <v>0.4</v>
      </c>
    </row>
    <row r="36" spans="3:11" x14ac:dyDescent="0.3">
      <c r="C36" t="s">
        <v>38</v>
      </c>
      <c r="D36">
        <f>D33*(1-D32/100)*D35+D34*(1-D35)</f>
        <v>9</v>
      </c>
    </row>
    <row r="37" spans="3:11" x14ac:dyDescent="0.3">
      <c r="C37" t="s">
        <v>39</v>
      </c>
      <c r="D37" s="2">
        <v>3</v>
      </c>
      <c r="E37" t="str">
        <f>IF(D37&lt;D36,"","    g must be less than r")</f>
        <v/>
      </c>
    </row>
    <row r="39" spans="3:11" x14ac:dyDescent="0.3">
      <c r="C39" s="9" t="s">
        <v>40</v>
      </c>
    </row>
    <row r="40" spans="3:11" x14ac:dyDescent="0.3">
      <c r="C40" t="s">
        <v>41</v>
      </c>
      <c r="D40">
        <f t="shared" ref="D40:J40" si="10">D41+D42</f>
        <v>95</v>
      </c>
      <c r="E40" s="12">
        <f t="shared" si="10"/>
        <v>109.59130774400001</v>
      </c>
      <c r="F40" s="12">
        <f t="shared" si="10"/>
        <v>125.12987743008001</v>
      </c>
      <c r="G40" s="12">
        <f t="shared" si="10"/>
        <v>141.7561469941856</v>
      </c>
      <c r="H40" s="12">
        <f t="shared" si="10"/>
        <v>156.77818578069545</v>
      </c>
      <c r="I40" s="12">
        <f t="shared" si="10"/>
        <v>172.40110611866567</v>
      </c>
      <c r="J40" s="12">
        <f t="shared" si="10"/>
        <v>188.64894327015472</v>
      </c>
      <c r="K40" s="12">
        <f>K41+K42</f>
        <v>204.50879327587111</v>
      </c>
    </row>
    <row r="41" spans="3:11" x14ac:dyDescent="0.3">
      <c r="C41" t="s">
        <v>45</v>
      </c>
      <c r="D41">
        <v>29</v>
      </c>
      <c r="E41" s="13">
        <f t="shared" ref="E41:K41" si="11">D41+E12</f>
        <v>38.897178144000002</v>
      </c>
      <c r="F41" s="13">
        <f t="shared" si="11"/>
        <v>49.48715875808</v>
      </c>
      <c r="G41" s="13">
        <f t="shared" si="11"/>
        <v>60.818438015145603</v>
      </c>
      <c r="H41" s="13">
        <f t="shared" si="11"/>
        <v>72.602968442493832</v>
      </c>
      <c r="I41" s="13">
        <f t="shared" si="11"/>
        <v>84.858880086935983</v>
      </c>
      <c r="J41" s="13">
        <f t="shared" si="11"/>
        <v>97.605028197155832</v>
      </c>
      <c r="K41" s="13">
        <f t="shared" si="11"/>
        <v>110.73356075068227</v>
      </c>
    </row>
    <row r="42" spans="3:11" x14ac:dyDescent="0.3">
      <c r="C42" t="s">
        <v>42</v>
      </c>
      <c r="D42">
        <v>66</v>
      </c>
      <c r="E42" s="11">
        <f t="shared" ref="E42:K42" si="12">E29*E9/100</f>
        <v>70.694129600000011</v>
      </c>
      <c r="F42" s="11">
        <f t="shared" si="12"/>
        <v>75.642718672000015</v>
      </c>
      <c r="G42" s="11">
        <f t="shared" si="12"/>
        <v>80.937708979040011</v>
      </c>
      <c r="H42" s="11">
        <f t="shared" si="12"/>
        <v>84.17521733820162</v>
      </c>
      <c r="I42" s="11">
        <f t="shared" si="12"/>
        <v>87.542226031729697</v>
      </c>
      <c r="J42" s="11">
        <f t="shared" si="12"/>
        <v>91.043915072998885</v>
      </c>
      <c r="K42" s="11">
        <f t="shared" si="12"/>
        <v>93.775232525188841</v>
      </c>
    </row>
    <row r="43" spans="3:11" x14ac:dyDescent="0.3">
      <c r="C43" t="s">
        <v>43</v>
      </c>
      <c r="D43">
        <v>11.1</v>
      </c>
      <c r="E43" s="19">
        <f t="shared" ref="E43:K43" si="13">E28*E9/100</f>
        <v>11.6332112</v>
      </c>
      <c r="F43" s="19">
        <f t="shared" si="13"/>
        <v>12.447535984000002</v>
      </c>
      <c r="G43" s="19">
        <f t="shared" si="13"/>
        <v>13.318863502880003</v>
      </c>
      <c r="H43" s="19">
        <f t="shared" si="13"/>
        <v>13.851618042995204</v>
      </c>
      <c r="I43" s="19">
        <f t="shared" si="13"/>
        <v>14.405682764715012</v>
      </c>
      <c r="J43" s="19">
        <f t="shared" si="13"/>
        <v>14.981910075303613</v>
      </c>
      <c r="K43" s="19">
        <f t="shared" si="13"/>
        <v>15.431367377562722</v>
      </c>
    </row>
  </sheetData>
  <mergeCells count="4">
    <mergeCell ref="B2:K2"/>
    <mergeCell ref="B3:L3"/>
    <mergeCell ref="E6:J6"/>
    <mergeCell ref="I21:K21"/>
  </mergeCells>
  <dataValidations count="5">
    <dataValidation type="decimal" operator="greaterThan" allowBlank="1" showInputMessage="1" showErrorMessage="1" error="Must be positive" sqref="D9" xr:uid="{23B080D4-B6CB-49D4-8D40-CFE34445CD8C}">
      <formula1>0</formula1>
    </dataValidation>
    <dataValidation type="decimal" operator="greaterThanOrEqual" allowBlank="1" showInputMessage="1" showErrorMessage="1" error="Cannot be less than -100%" sqref="E26:K26" xr:uid="{68DDE29B-1E57-45C2-B30C-3BC8666925CF}">
      <formula1>-100</formula1>
    </dataValidation>
    <dataValidation type="decimal" operator="greaterThanOrEqual" allowBlank="1" showInputMessage="1" showErrorMessage="1" error="Cannot be negative" sqref="E27:K29 D33:D34" xr:uid="{9D4561BA-0B74-4D82-A0FE-A9F619ED4401}">
      <formula1>0</formula1>
    </dataValidation>
    <dataValidation type="decimal" operator="greaterThan" allowBlank="1" showInputMessage="1" showErrorMessage="1" error="Cannot be less than -100%" sqref="D37" xr:uid="{09CBC3D6-6216-4475-A4E1-A4ECE3F4A91D}">
      <formula1>-100</formula1>
    </dataValidation>
    <dataValidation type="decimal" allowBlank="1" showInputMessage="1" showErrorMessage="1" error="Must be between 0 and 100%" sqref="D35 E30:K30 D32" xr:uid="{C59242A6-BA9E-4246-BA46-39E3E12B8272}">
      <formula1>0</formula1>
      <formula2>100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D2FE6-41B8-436A-AEC9-2B571A379CC9}">
  <dimension ref="B2:J24"/>
  <sheetViews>
    <sheetView workbookViewId="0">
      <selection activeCell="D16" sqref="D16"/>
    </sheetView>
  </sheetViews>
  <sheetFormatPr defaultRowHeight="14.4" x14ac:dyDescent="0.3"/>
  <cols>
    <col min="2" max="2" width="33.109375" bestFit="1" customWidth="1"/>
    <col min="3" max="3" width="10.44140625" bestFit="1" customWidth="1"/>
  </cols>
  <sheetData>
    <row r="2" spans="2:10" x14ac:dyDescent="0.3">
      <c r="B2" s="20" t="s">
        <v>55</v>
      </c>
      <c r="C2" s="20"/>
      <c r="D2" s="20"/>
      <c r="E2" s="20"/>
      <c r="F2" s="20"/>
      <c r="G2" s="20"/>
      <c r="H2" s="20"/>
      <c r="I2" s="20"/>
      <c r="J2" s="20"/>
    </row>
    <row r="4" spans="2:10" x14ac:dyDescent="0.3">
      <c r="C4" t="s">
        <v>1</v>
      </c>
    </row>
    <row r="5" spans="2:10" x14ac:dyDescent="0.3">
      <c r="C5" t="s">
        <v>2</v>
      </c>
      <c r="D5" s="21" t="s">
        <v>3</v>
      </c>
      <c r="E5" s="21"/>
      <c r="F5" s="21"/>
      <c r="G5" s="21"/>
      <c r="H5" s="21"/>
      <c r="I5" s="21"/>
    </row>
    <row r="6" spans="2:10" x14ac:dyDescent="0.3">
      <c r="C6" s="18">
        <v>0</v>
      </c>
      <c r="D6" s="18">
        <v>1</v>
      </c>
      <c r="E6" s="18">
        <v>2</v>
      </c>
      <c r="F6" s="18">
        <v>3</v>
      </c>
      <c r="G6" s="18">
        <v>4</v>
      </c>
      <c r="H6" s="18">
        <v>5</v>
      </c>
      <c r="I6" s="18">
        <v>6</v>
      </c>
      <c r="J6" s="18">
        <v>7</v>
      </c>
    </row>
    <row r="8" spans="2:10" x14ac:dyDescent="0.3">
      <c r="B8" t="s">
        <v>46</v>
      </c>
      <c r="C8" s="3">
        <f>'[1]TABLE 19.1'!D19</f>
        <v>2.4837500000000006</v>
      </c>
      <c r="D8" s="3">
        <f>'[1]TABLE 19.1'!E19</f>
        <v>3.4626679664000015</v>
      </c>
      <c r="E8" s="3">
        <f>'[1]TABLE 19.1'!F19</f>
        <v>3.2242071244479931</v>
      </c>
      <c r="F8" s="3">
        <f>'[1]TABLE 19.1'!G19</f>
        <v>3.4499016231593771</v>
      </c>
      <c r="G8" s="3">
        <f>'[1]TABLE 19.1'!H19</f>
        <v>5.8843148766908229</v>
      </c>
      <c r="H8" s="3">
        <f>'[1]TABLE 19.1'!I19</f>
        <v>6.1196874717584926</v>
      </c>
      <c r="I8" s="3">
        <f>'[1]TABLE 19.1'!J19</f>
        <v>5.9899272187462245</v>
      </c>
      <c r="J8" s="3">
        <f>'[1]TABLE 19.1'!K19</f>
        <v>6.8033199388340186</v>
      </c>
    </row>
    <row r="9" spans="2:10" x14ac:dyDescent="0.3">
      <c r="C9" s="3"/>
      <c r="D9" s="3"/>
      <c r="E9" s="3"/>
      <c r="F9" s="3"/>
      <c r="G9" s="3"/>
      <c r="H9" s="3"/>
      <c r="I9" s="3"/>
      <c r="J9" s="3"/>
    </row>
    <row r="10" spans="2:10" x14ac:dyDescent="0.3">
      <c r="B10" t="s">
        <v>24</v>
      </c>
      <c r="C10" s="3">
        <f>NPV(C23/100,D8:I8)</f>
        <v>19.709126184067177</v>
      </c>
      <c r="D10" s="3"/>
      <c r="E10" s="3"/>
      <c r="F10" s="3"/>
      <c r="G10" s="3"/>
      <c r="H10" s="22" t="s">
        <v>25</v>
      </c>
      <c r="I10" s="22"/>
      <c r="J10" s="22"/>
    </row>
    <row r="11" spans="2:10" x14ac:dyDescent="0.3">
      <c r="B11" t="s">
        <v>26</v>
      </c>
      <c r="C11" s="3">
        <f>I11/(1+C23/100)^6</f>
        <v>64.566389128928279</v>
      </c>
      <c r="D11" s="3"/>
      <c r="E11" s="3"/>
      <c r="F11" s="3"/>
      <c r="G11" s="3"/>
      <c r="H11" s="3"/>
      <c r="I11" s="3">
        <f>'[1]TABLE 19.1'!J22</f>
        <v>113.38866564723365</v>
      </c>
      <c r="J11" s="3"/>
    </row>
    <row r="12" spans="2:10" x14ac:dyDescent="0.3">
      <c r="B12" t="s">
        <v>47</v>
      </c>
      <c r="C12" s="3">
        <f>C10+C11</f>
        <v>84.275515312995452</v>
      </c>
      <c r="D12" s="3"/>
      <c r="E12" s="3"/>
      <c r="F12" s="3"/>
      <c r="G12" s="3"/>
      <c r="H12" s="3"/>
      <c r="I12" s="3"/>
      <c r="J12" s="3"/>
    </row>
    <row r="14" spans="2:10" x14ac:dyDescent="0.3">
      <c r="B14" t="s">
        <v>48</v>
      </c>
      <c r="C14">
        <v>51</v>
      </c>
      <c r="D14" s="3">
        <v>50</v>
      </c>
      <c r="E14" s="3">
        <v>49</v>
      </c>
      <c r="F14" s="3">
        <v>48</v>
      </c>
      <c r="G14" s="3">
        <v>47</v>
      </c>
      <c r="H14" s="3">
        <v>46</v>
      </c>
      <c r="I14" s="3">
        <v>45</v>
      </c>
    </row>
    <row r="15" spans="2:10" x14ac:dyDescent="0.3">
      <c r="B15" t="s">
        <v>49</v>
      </c>
      <c r="D15" s="3">
        <f t="shared" ref="D15:I15" si="0">($C$24/100)*C14</f>
        <v>3.06</v>
      </c>
      <c r="E15" s="3">
        <f t="shared" si="0"/>
        <v>3</v>
      </c>
      <c r="F15" s="3">
        <f t="shared" si="0"/>
        <v>2.94</v>
      </c>
      <c r="G15" s="3">
        <f t="shared" si="0"/>
        <v>2.88</v>
      </c>
      <c r="H15" s="3">
        <f t="shared" si="0"/>
        <v>2.82</v>
      </c>
      <c r="I15" s="3">
        <f t="shared" si="0"/>
        <v>2.76</v>
      </c>
    </row>
    <row r="16" spans="2:10" x14ac:dyDescent="0.3">
      <c r="B16" t="s">
        <v>50</v>
      </c>
      <c r="D16" s="3">
        <f t="shared" ref="D16:I16" si="1">($C$22/100)*D15</f>
        <v>1.071</v>
      </c>
      <c r="E16" s="3">
        <f t="shared" si="1"/>
        <v>1.0499999999999998</v>
      </c>
      <c r="F16" s="3">
        <f t="shared" si="1"/>
        <v>1.0289999999999999</v>
      </c>
      <c r="G16" s="3">
        <f t="shared" si="1"/>
        <v>1.008</v>
      </c>
      <c r="H16" s="3">
        <f t="shared" si="1"/>
        <v>0.98699999999999988</v>
      </c>
      <c r="I16" s="3">
        <f t="shared" si="1"/>
        <v>0.96599999999999986</v>
      </c>
    </row>
    <row r="17" spans="2:3" x14ac:dyDescent="0.3">
      <c r="B17" t="s">
        <v>51</v>
      </c>
      <c r="C17">
        <f>NPV(C24/100,D16:I16)</f>
        <v>5.0258079739732064</v>
      </c>
    </row>
    <row r="19" spans="2:3" x14ac:dyDescent="0.3">
      <c r="B19" t="s">
        <v>52</v>
      </c>
      <c r="C19" s="3">
        <f>C12+C17</f>
        <v>89.301323286968653</v>
      </c>
    </row>
    <row r="21" spans="2:3" x14ac:dyDescent="0.3">
      <c r="B21" t="s">
        <v>28</v>
      </c>
    </row>
    <row r="22" spans="2:3" x14ac:dyDescent="0.3">
      <c r="B22" t="s">
        <v>34</v>
      </c>
      <c r="C22" s="4">
        <f>'[1]TABLE 19.1'!D32</f>
        <v>35</v>
      </c>
    </row>
    <row r="23" spans="2:3" x14ac:dyDescent="0.3">
      <c r="B23" t="s">
        <v>53</v>
      </c>
      <c r="C23">
        <f>'[1]TABLE 19.1'!$D$33*'[1]TABLE 19.1'!$D$35+'[1]TABLE 19.1'!$D$34*(1-'[1]TABLE 19.1'!$D$35)</f>
        <v>9.84</v>
      </c>
    </row>
    <row r="24" spans="2:3" x14ac:dyDescent="0.3">
      <c r="B24" t="s">
        <v>54</v>
      </c>
      <c r="C24" s="4">
        <f>'[1]TABLE 19.1'!D33</f>
        <v>6</v>
      </c>
    </row>
  </sheetData>
  <mergeCells count="3">
    <mergeCell ref="B2:J2"/>
    <mergeCell ref="D5:I5"/>
    <mergeCell ref="H10:J10"/>
  </mergeCells>
  <dataValidations count="1">
    <dataValidation type="decimal" operator="greaterThanOrEqual" allowBlank="1" showInputMessage="1" showErrorMessage="1" error="Cannot be negative" sqref="C14:I14" xr:uid="{ECE22D39-4DA5-4007-BA11-277B69AE1CC1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Azevedo Pereira</dc:creator>
  <cp:lastModifiedBy>José Azevedo Pereira</cp:lastModifiedBy>
  <dcterms:created xsi:type="dcterms:W3CDTF">2018-10-17T09:03:32Z</dcterms:created>
  <dcterms:modified xsi:type="dcterms:W3CDTF">2019-03-11T12:49:58Z</dcterms:modified>
</cp:coreProperties>
</file>